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ndy\Google Drive\Web Retailer\Blog\WIP\548 FBA Calculator\Excel calculators\"/>
    </mc:Choice>
  </mc:AlternateContent>
  <xr:revisionPtr revIDLastSave="0" documentId="13_ncr:1_{C15E49BA-00B2-4320-B8AD-CBCD2F68F37D}" xr6:coauthVersionLast="37" xr6:coauthVersionMax="39" xr10:uidLastSave="{00000000-0000-0000-0000-000000000000}"/>
  <bookViews>
    <workbookView xWindow="240" yWindow="108" windowWidth="14808" windowHeight="8016" xr2:uid="{00000000-000D-0000-FFFF-FFFF00000000}"/>
  </bookViews>
  <sheets>
    <sheet name="Calculator" sheetId="1" r:id="rId1"/>
    <sheet name="Formulas" sheetId="2" r:id="rId2"/>
  </sheets>
  <definedNames>
    <definedName name="cbm_20ft_container">Formulas!$C$47</definedName>
    <definedName name="cbm_40ft_container">Formulas!$C$48</definedName>
    <definedName name="girth">Calculator!$D$15</definedName>
    <definedName name="item_cbm">Calculator!$D$12</definedName>
    <definedName name="item_height">Calculator!$C$7</definedName>
    <definedName name="item_length">Calculator!$C$5</definedName>
    <definedName name="item_weight">Calculator!$C$8</definedName>
    <definedName name="item_width">Calculator!$C$6</definedName>
    <definedName name="lg_oversize">Formulas!$L$9</definedName>
    <definedName name="lg_oversize_fbaCosst">Formulas!$I$9</definedName>
    <definedName name="lg_oversize_fbaCost">Formulas!$I$9</definedName>
    <definedName name="lg_std_fbaCost">Formulas!$I$4</definedName>
    <definedName name="lg_std_size_under1">Formulas!$L$4</definedName>
    <definedName name="lg_std_size_under2">Formulas!$L$5</definedName>
    <definedName name="lg_std_size_under20">Formulas!$L$6</definedName>
    <definedName name="lg_std_under2_fbaCost">Formulas!$I$5</definedName>
    <definedName name="lg_std_under20_fbaCost">Formulas!$I$6</definedName>
    <definedName name="max_height">Formulas!$E$2</definedName>
    <definedName name="max_length">Formulas!$C$2</definedName>
    <definedName name="max_weight">Formulas!$B$2</definedName>
    <definedName name="max_width">Formulas!$D$2</definedName>
    <definedName name="md_oversize">Formulas!$L$8</definedName>
    <definedName name="md_oversize_fbaCost">Formulas!$I$8</definedName>
    <definedName name="outbound_weight">Calculator!$D$20</definedName>
    <definedName name="size_tier">Calculator!$D$9</definedName>
    <definedName name="sm_oversize">Formulas!$L$7</definedName>
    <definedName name="sm_oversize_fbaCost">Formulas!$I$7</definedName>
    <definedName name="sm_std_fbaCost">Formulas!$I$3</definedName>
    <definedName name="sm_std_size">Formulas!$L$3</definedName>
    <definedName name="sp_oversize">Formulas!$L$10</definedName>
    <definedName name="sp_oversize_fbaCost">Formulas!$I$10</definedName>
    <definedName name="std_size_under1">Formulas!$L$4</definedName>
    <definedName name="std_under1">Formulas!$L$4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9" i="1" l="1"/>
  <c r="D10" i="1"/>
  <c r="D11" i="1" s="1"/>
  <c r="E37" i="1"/>
  <c r="F43" i="2"/>
  <c r="F39" i="2"/>
  <c r="F27" i="2"/>
  <c r="F21" i="2"/>
  <c r="F22" i="2"/>
  <c r="F23" i="2"/>
  <c r="F24" i="2"/>
  <c r="F25" i="2"/>
  <c r="F26" i="2"/>
  <c r="F28" i="2"/>
  <c r="F29" i="2"/>
  <c r="F30" i="2"/>
  <c r="F31" i="2"/>
  <c r="F32" i="2"/>
  <c r="F33" i="2"/>
  <c r="F34" i="2"/>
  <c r="F35" i="2"/>
  <c r="F36" i="2"/>
  <c r="F37" i="2"/>
  <c r="F38" i="2"/>
  <c r="F40" i="2"/>
  <c r="F41" i="2"/>
  <c r="F42" i="2"/>
  <c r="F20" i="2"/>
  <c r="E26" i="1"/>
  <c r="C25" i="1"/>
  <c r="I4" i="2"/>
  <c r="I5" i="2"/>
  <c r="I3" i="2"/>
  <c r="D12" i="1"/>
  <c r="D14" i="1" s="1"/>
  <c r="D15" i="1"/>
  <c r="D30" i="1" l="1"/>
  <c r="D29" i="1"/>
  <c r="E31" i="1" s="1"/>
  <c r="D19" i="1"/>
  <c r="D17" i="1"/>
  <c r="D18" i="1" s="1"/>
  <c r="D20" i="1" s="1"/>
  <c r="D13" i="1"/>
  <c r="I7" i="2" l="1"/>
  <c r="I10" i="2"/>
  <c r="I6" i="2"/>
  <c r="E21" i="1" s="1"/>
  <c r="I9" i="2"/>
  <c r="I8" i="2"/>
  <c r="E39" i="1" l="1"/>
  <c r="E40" i="1" s="1"/>
</calcChain>
</file>

<file path=xl/sharedStrings.xml><?xml version="1.0" encoding="utf-8"?>
<sst xmlns="http://schemas.openxmlformats.org/spreadsheetml/2006/main" count="129" uniqueCount="119">
  <si>
    <t>Amazon FBA Fees Calculator</t>
  </si>
  <si>
    <t>Inputs</t>
  </si>
  <si>
    <t>Outputs</t>
  </si>
  <si>
    <t>Cost Subtotals</t>
  </si>
  <si>
    <t>Notes</t>
  </si>
  <si>
    <t>FBA Fulfillment Cost</t>
  </si>
  <si>
    <t>Sale Price</t>
  </si>
  <si>
    <t>Enter sale price</t>
  </si>
  <si>
    <t>Length (in)</t>
  </si>
  <si>
    <t>Enter longest side (Over 18" is oversize)</t>
  </si>
  <si>
    <t>Width (in)</t>
  </si>
  <si>
    <t>Enter second longest side (over 14" is oversize)</t>
  </si>
  <si>
    <t>Height (in)</t>
  </si>
  <si>
    <t>Enter the height (over 8" is oversize)</t>
  </si>
  <si>
    <t>Weight (lbs)</t>
  </si>
  <si>
    <t>Enter weight of product when sent to FBA including any packaging.</t>
  </si>
  <si>
    <t>Size Tier</t>
  </si>
  <si>
    <t>Automatically calculated.</t>
  </si>
  <si>
    <t>Cubic Inches</t>
  </si>
  <si>
    <t>Cubic Feet</t>
  </si>
  <si>
    <t>Cubic Meters</t>
  </si>
  <si>
    <t>Useful for determining sea freight rates</t>
  </si>
  <si>
    <t>Units in 20' Container</t>
  </si>
  <si>
    <t>Units in 40' Container</t>
  </si>
  <si>
    <t>Girth</t>
  </si>
  <si>
    <t>Dimensional Weight Divisor</t>
  </si>
  <si>
    <t>Dimensional Weight (lbs)</t>
  </si>
  <si>
    <t>Dimensional Weight Applicable?</t>
  </si>
  <si>
    <t>Dimensional weight is only applicable for large standard-size items weighing more than 1 lb. and all small, medium, and large oversize items.</t>
  </si>
  <si>
    <t>Packaging Weight</t>
  </si>
  <si>
    <t>Amazon adds 0.25 lbs to standard size items for packing weight and 1 lbs for oversize items.</t>
  </si>
  <si>
    <t>Outbound Weight for FBA Cost</t>
  </si>
  <si>
    <t>FBA Cost</t>
  </si>
  <si>
    <t>Amazon Referral Fees</t>
  </si>
  <si>
    <t>Category</t>
  </si>
  <si>
    <t xml:space="preserve">Automotive &amp; Powersports </t>
  </si>
  <si>
    <t>Referral fees are different for some categories; Most are 15%</t>
  </si>
  <si>
    <t>Referral Fee %</t>
  </si>
  <si>
    <t>Referral fees based on category</t>
  </si>
  <si>
    <t>Minimum Fee</t>
  </si>
  <si>
    <t>Minimum referral fees apply to most categories</t>
  </si>
  <si>
    <t>Total Amazon Referral Fees</t>
  </si>
  <si>
    <t>Storage Fees</t>
  </si>
  <si>
    <t>How long will you store each item at Amazon on average (normally your turnover/2)</t>
  </si>
  <si>
    <t>January-September (per cubic foot)</t>
  </si>
  <si>
    <t>October-December (per cubic foot)</t>
  </si>
  <si>
    <t>Costs of Goods (Landed Costs)</t>
  </si>
  <si>
    <t>Manufacturer cost</t>
  </si>
  <si>
    <t>Cost from your supplier.</t>
  </si>
  <si>
    <t>Freight</t>
  </si>
  <si>
    <t>Enter freight per unit to your warehouse, not to FBA.</t>
  </si>
  <si>
    <t>Duties Rate</t>
  </si>
  <si>
    <t>Enter import duties and taxes per unit.</t>
  </si>
  <si>
    <t>Warehouse storage, receiving, out fees</t>
  </si>
  <si>
    <t>Enter your warehouse fees, not FBA warehouse fees.</t>
  </si>
  <si>
    <t>Landed cost before shipping to FBA</t>
  </si>
  <si>
    <t>Summary</t>
  </si>
  <si>
    <t>Total Profit</t>
  </si>
  <si>
    <t>Total proft per unit sold.</t>
  </si>
  <si>
    <t>Total Profit Margin</t>
  </si>
  <si>
    <t>Total profit margin per unit sold.</t>
  </si>
  <si>
    <t>Password: ecomcrew</t>
  </si>
  <si>
    <t>max weight</t>
  </si>
  <si>
    <t>max length</t>
  </si>
  <si>
    <t>max width</t>
  </si>
  <si>
    <t>max height</t>
  </si>
  <si>
    <t>max_lengirth</t>
  </si>
  <si>
    <t>FBA Base Cost</t>
  </si>
  <si>
    <t>FBA Cost/lbs</t>
  </si>
  <si>
    <t>Total FBA Cost</t>
  </si>
  <si>
    <t>Storage Cost/CFT (Jan-Sept)</t>
  </si>
  <si>
    <t>Storage Cost/CFT (Oct-Dec)</t>
  </si>
  <si>
    <t>size tier</t>
  </si>
  <si>
    <t>Standard-size small one lb or less</t>
  </si>
  <si>
    <t>Large standard-size one lb or less</t>
  </si>
  <si>
    <t>Large standard-size one lb to two lb</t>
  </si>
  <si>
    <t>Large standard-size over two lb</t>
  </si>
  <si>
    <t>Small oversize</t>
  </si>
  <si>
    <t>Medium oversize</t>
  </si>
  <si>
    <t>Large oversize</t>
  </si>
  <si>
    <t>Special oversize</t>
  </si>
  <si>
    <t>Categories</t>
  </si>
  <si>
    <t>Referral % Tier 1</t>
  </si>
  <si>
    <t>Referral % Tier 2</t>
  </si>
  <si>
    <t>Minimum</t>
  </si>
  <si>
    <t>Cost</t>
  </si>
  <si>
    <t>Default</t>
  </si>
  <si>
    <t>Beauty</t>
  </si>
  <si>
    <t>Camera and Photo</t>
  </si>
  <si>
    <t>Cell Phone Devices</t>
  </si>
  <si>
    <t>Clothing &amp; Accessories</t>
  </si>
  <si>
    <t>Consumer Electronics</t>
  </si>
  <si>
    <t xml:space="preserve">Electronics Accessories </t>
  </si>
  <si>
    <t>15% for the portion of the total sales price up to $100; and 8% for any portion of the total sales price greater than $100</t>
  </si>
  <si>
    <t>Furniture &amp; Décor</t>
  </si>
  <si>
    <t>Grocery &amp; Gourmet Food</t>
  </si>
  <si>
    <t>Home &amp; Garden (including Pet Supplies)</t>
  </si>
  <si>
    <t>Jewelry</t>
  </si>
  <si>
    <t xml:space="preserve">Kitchen </t>
  </si>
  <si>
    <t>Luggage &amp; Travel Accessories</t>
  </si>
  <si>
    <t xml:space="preserve">Major Appliances </t>
  </si>
  <si>
    <t xml:space="preserve">Musical Instruments </t>
  </si>
  <si>
    <t>Office Products</t>
  </si>
  <si>
    <t>Outdoors</t>
  </si>
  <si>
    <t>Personal Computers</t>
  </si>
  <si>
    <t xml:space="preserve">Shoes, Handbags &amp; Sunglasses </t>
  </si>
  <si>
    <t>15% for products with a total sales price of up to $75; 18% for products with a total sales price above $75</t>
  </si>
  <si>
    <t xml:space="preserve">Sports (excluding Sports Collectibles) </t>
  </si>
  <si>
    <t>Tools &amp; Home Improvement</t>
  </si>
  <si>
    <t>Toys &amp; Games</t>
  </si>
  <si>
    <t>Watches</t>
  </si>
  <si>
    <t>16% for the portion of the total sales price up to $1,500; and 3% for any portion of the total sales price greater than $1,500</t>
  </si>
  <si>
    <t>20' Container CBM</t>
  </si>
  <si>
    <t>40' Container CBM</t>
  </si>
  <si>
    <t>Non-Peak Storage</t>
  </si>
  <si>
    <t>Peak Storage</t>
  </si>
  <si>
    <t>Total Storage Fees/Item</t>
  </si>
  <si>
    <t>Months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</si>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</sst>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&quot;$&quot;#,##0.00;[Red]\-&quot;$&quot;#,##0.00"/>
    <numFmt numFmtId="166" formatCode="0.000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0394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303942"/>
      <name val="Calibri"/>
      <family val="2"/>
      <scheme val="minor"/>
    </font>
    <font>
      <sz val="11"/>
      <color rgb="FF1111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2" fillId="2" borderId="5" xfId="0" applyFont="1" applyFill="1" applyBorder="1" applyAlignment="1" applyProtection="1">
      <alignment horizontal="right"/>
      <protection locked="0"/>
    </xf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5" xfId="0" applyBorder="1"/>
    <xf numFmtId="166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0" xfId="0" applyFill="1"/>
    <xf numFmtId="0" fontId="4" fillId="5" borderId="1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165" fontId="4" fillId="5" borderId="1" xfId="0" applyNumberFormat="1" applyFont="1" applyFill="1" applyBorder="1"/>
    <xf numFmtId="167" fontId="3" fillId="0" borderId="1" xfId="0" applyNumberFormat="1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167" fontId="4" fillId="0" borderId="1" xfId="0" applyNumberFormat="1" applyFont="1" applyBorder="1" applyAlignment="1">
      <alignment horizontal="center" wrapText="1"/>
    </xf>
    <xf numFmtId="9" fontId="3" fillId="0" borderId="1" xfId="1" applyFont="1" applyBorder="1" applyAlignment="1">
      <alignment wrapText="1"/>
    </xf>
    <xf numFmtId="167" fontId="0" fillId="0" borderId="1" xfId="0" applyNumberFormat="1" applyBorder="1"/>
    <xf numFmtId="0" fontId="10" fillId="0" borderId="1" xfId="0" applyFont="1" applyBorder="1"/>
    <xf numFmtId="167" fontId="7" fillId="8" borderId="1" xfId="0" applyNumberFormat="1" applyFont="1" applyFill="1" applyBorder="1" applyAlignment="1">
      <alignment horizontal="center" wrapText="1"/>
    </xf>
    <xf numFmtId="164" fontId="7" fillId="8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7" fillId="8" borderId="1" xfId="0" applyNumberFormat="1" applyFont="1" applyFill="1" applyBorder="1" applyAlignment="1">
      <alignment horizontal="center"/>
    </xf>
    <xf numFmtId="10" fontId="7" fillId="8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 applyProtection="1">
      <alignment horizontal="right" wrapText="1"/>
      <protection locked="0"/>
    </xf>
    <xf numFmtId="9" fontId="8" fillId="4" borderId="1" xfId="1" applyFont="1" applyFill="1" applyBorder="1" applyAlignment="1" applyProtection="1">
      <alignment horizontal="right" wrapText="1"/>
      <protection locked="0"/>
    </xf>
    <xf numFmtId="165" fontId="8" fillId="6" borderId="1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 applyProtection="1">
      <alignment horizontal="right"/>
      <protection locked="0"/>
    </xf>
    <xf numFmtId="0" fontId="11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9" borderId="3" xfId="0" applyFont="1" applyFill="1" applyBorder="1" applyAlignment="1" applyProtection="1">
      <alignment horizontal="center" wrapText="1"/>
      <protection locked="0"/>
    </xf>
    <xf numFmtId="0" fontId="4" fillId="9" borderId="4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17" workbookViewId="0">
      <selection activeCell="E34" sqref="E34"/>
    </sheetView>
  </sheetViews>
  <sheetFormatPr defaultColWidth="8.88671875" defaultRowHeight="14.4" x14ac:dyDescent="0.3"/>
  <cols>
    <col min="1" max="1" width="3.6640625" style="9" customWidth="1"/>
    <col min="2" max="2" width="27.5546875" bestFit="1" customWidth="1"/>
    <col min="3" max="3" width="17.88671875" customWidth="1"/>
    <col min="4" max="4" width="15.77734375" customWidth="1"/>
    <col min="5" max="5" width="18.33203125" customWidth="1"/>
    <col min="6" max="6" width="71.5546875" bestFit="1" customWidth="1"/>
  </cols>
  <sheetData>
    <row r="1" spans="2:6" ht="21" x14ac:dyDescent="0.4">
      <c r="B1" s="39" t="s">
        <v>0</v>
      </c>
      <c r="C1" s="39"/>
      <c r="D1" s="39"/>
      <c r="E1" s="39"/>
      <c r="F1" s="39"/>
    </row>
    <row r="2" spans="2:6" x14ac:dyDescent="0.3">
      <c r="B2" s="10" t="s">
        <v>1</v>
      </c>
      <c r="C2" s="20" t="s">
        <v>1</v>
      </c>
      <c r="D2" s="10" t="s">
        <v>2</v>
      </c>
      <c r="E2" s="10" t="s">
        <v>3</v>
      </c>
      <c r="F2" s="10" t="s">
        <v>4</v>
      </c>
    </row>
    <row r="3" spans="2:6" x14ac:dyDescent="0.3">
      <c r="B3" s="47" t="s">
        <v>5</v>
      </c>
      <c r="C3" s="48"/>
      <c r="D3" s="48"/>
      <c r="E3" s="48"/>
      <c r="F3" s="49"/>
    </row>
    <row r="4" spans="2:6" ht="18" customHeight="1" x14ac:dyDescent="0.35">
      <c r="B4" s="11" t="s">
        <v>6</v>
      </c>
      <c r="C4" s="37">
        <v>50</v>
      </c>
      <c r="D4" s="12"/>
      <c r="E4" s="13"/>
      <c r="F4" s="13" t="s">
        <v>7</v>
      </c>
    </row>
    <row r="5" spans="2:6" ht="18" customHeight="1" x14ac:dyDescent="0.35">
      <c r="B5" s="11" t="s">
        <v>8</v>
      </c>
      <c r="C5" s="38">
        <v>11.9</v>
      </c>
      <c r="D5" s="12"/>
      <c r="E5" s="13"/>
      <c r="F5" s="13" t="s">
        <v>9</v>
      </c>
    </row>
    <row r="6" spans="2:6" ht="18" customHeight="1" x14ac:dyDescent="0.35">
      <c r="B6" s="11" t="s">
        <v>10</v>
      </c>
      <c r="C6" s="38">
        <v>8.3000000000000007</v>
      </c>
      <c r="D6" s="12"/>
      <c r="E6" s="13"/>
      <c r="F6" s="13" t="s">
        <v>11</v>
      </c>
    </row>
    <row r="7" spans="2:6" ht="18" customHeight="1" x14ac:dyDescent="0.35">
      <c r="B7" s="11" t="s">
        <v>12</v>
      </c>
      <c r="C7" s="38">
        <v>2.7</v>
      </c>
      <c r="D7" s="12"/>
      <c r="E7" s="13"/>
      <c r="F7" s="13" t="s">
        <v>13</v>
      </c>
    </row>
    <row r="8" spans="2:6" ht="18" customHeight="1" x14ac:dyDescent="0.35">
      <c r="B8" s="11" t="s">
        <v>14</v>
      </c>
      <c r="C8" s="38">
        <v>3.5693000000000001</v>
      </c>
      <c r="D8" s="12"/>
      <c r="E8" s="13"/>
      <c r="F8" s="13" t="s">
        <v>15</v>
      </c>
    </row>
    <row r="9" spans="2:6" ht="31.95" customHeight="1" x14ac:dyDescent="0.3">
      <c r="B9" s="4" t="s">
        <v>16</v>
      </c>
      <c r="C9" s="1"/>
      <c r="D9" s="40" t="str">
        <f>IF(AND(item_weight&lt;=Formulas!B3,item_length&lt;=Formulas!C3,item_width&lt;=Formulas!D3,item_height&lt;=Formulas!E3),sm_std_size,IF(AND(item_weight&lt;=Formulas!B4,item_length&lt;=Formulas!C4,item_width&lt;=Formulas!D4,item_height&lt;=Formulas!E4),lg_std_size_under1,IF(AND(item_weight&lt;=Formulas!B5,item_length&lt;=Formulas!C5,item_width&lt;=Formulas!D5,item_height&lt;=Formulas!E5),lg_std_size_under2,IF(AND(item_weight&lt;=Formulas!B6,item_length&lt;=Formulas!C6,item_width&lt;=Formulas!D6,item_height&lt;=Formulas!E6),lg_std_size_under20,IF(AND(item_weight&lt;=Formulas!B7,item_length&lt;=Formulas!C7,item_width&lt;=Formulas!D7,(2*girth)&lt;=Formulas!F7),sm_oversize,IF(AND(item_weight&lt;=Formulas!B8,item_length&lt;=Formulas!C8,(2*girth)&lt;=Formulas!F8),md_oversize,IF(AND(item_weight&lt;=Formulas!B9,item_length&lt;=Formulas!C9,(2*girth)&lt;=Formulas!F9),lg_oversize,sp_oversize)))))))</f>
        <v>Large standard-size over two lb</v>
      </c>
      <c r="E9" s="41"/>
      <c r="F9" s="2" t="s">
        <v>17</v>
      </c>
    </row>
    <row r="10" spans="2:6" ht="24" hidden="1" customHeight="1" x14ac:dyDescent="0.3">
      <c r="B10" s="2" t="s">
        <v>18</v>
      </c>
      <c r="C10" s="5"/>
      <c r="D10" s="2">
        <f>PRODUCT(C5:C7)</f>
        <v>266.67900000000003</v>
      </c>
      <c r="E10" s="2"/>
      <c r="F10" s="2" t="s">
        <v>17</v>
      </c>
    </row>
    <row r="11" spans="2:6" ht="18" customHeight="1" x14ac:dyDescent="0.3">
      <c r="B11" s="2" t="s">
        <v>19</v>
      </c>
      <c r="C11" s="2"/>
      <c r="D11" s="6">
        <f>D10/1728</f>
        <v>0.15432812500000001</v>
      </c>
      <c r="E11" s="2"/>
      <c r="F11" s="2" t="s">
        <v>17</v>
      </c>
    </row>
    <row r="12" spans="2:6" ht="27" hidden="1" customHeight="1" x14ac:dyDescent="0.3">
      <c r="B12" s="2" t="s">
        <v>20</v>
      </c>
      <c r="C12" s="2"/>
      <c r="D12" s="6">
        <f>((item_length*2.54)*(item_width*2.54)*(item_height*2.54))/1000000</f>
        <v>4.370085840456E-3</v>
      </c>
      <c r="E12" s="2"/>
      <c r="F12" s="2" t="s">
        <v>21</v>
      </c>
    </row>
    <row r="13" spans="2:6" ht="18" hidden="1" customHeight="1" x14ac:dyDescent="0.3">
      <c r="B13" s="2" t="s">
        <v>22</v>
      </c>
      <c r="C13" s="2"/>
      <c r="D13" s="7">
        <f>(cbm_20ft_container/item_cbm)</f>
        <v>6178.3683400559157</v>
      </c>
      <c r="E13" s="2"/>
      <c r="F13" s="2" t="s">
        <v>17</v>
      </c>
    </row>
    <row r="14" spans="2:6" ht="18" hidden="1" customHeight="1" x14ac:dyDescent="0.3">
      <c r="B14" s="2" t="s">
        <v>23</v>
      </c>
      <c r="C14" s="2"/>
      <c r="D14" s="7">
        <f>cbm_40ft_container/item_cbm</f>
        <v>13043.222051229157</v>
      </c>
      <c r="E14" s="2"/>
      <c r="F14" s="2" t="s">
        <v>17</v>
      </c>
    </row>
    <row r="15" spans="2:6" ht="18" hidden="1" customHeight="1" x14ac:dyDescent="0.3">
      <c r="B15" s="2" t="s">
        <v>24</v>
      </c>
      <c r="C15" s="2"/>
      <c r="D15" s="8">
        <f>2*(item_width+item_height)</f>
        <v>22</v>
      </c>
      <c r="E15" s="2"/>
      <c r="F15" s="2" t="s">
        <v>17</v>
      </c>
    </row>
    <row r="16" spans="2:6" ht="18" hidden="1" customHeight="1" x14ac:dyDescent="0.3">
      <c r="B16" s="2" t="s">
        <v>25</v>
      </c>
      <c r="C16" s="2"/>
      <c r="D16" s="2">
        <v>139</v>
      </c>
      <c r="E16" s="2"/>
      <c r="F16" s="2"/>
    </row>
    <row r="17" spans="2:6" x14ac:dyDescent="0.3">
      <c r="B17" s="14" t="s">
        <v>26</v>
      </c>
      <c r="C17" s="14"/>
      <c r="D17" s="15">
        <f>D10/D16</f>
        <v>1.9185539568345327</v>
      </c>
      <c r="E17" s="14"/>
      <c r="F17" s="14"/>
    </row>
    <row r="18" spans="2:6" ht="27.6" x14ac:dyDescent="0.3">
      <c r="B18" s="16" t="s">
        <v>27</v>
      </c>
      <c r="C18" s="17"/>
      <c r="D18" s="18" t="str">
        <f>IF(OR(D9=lg_std_size_under1, D9=lg_std_size_under2, D9=lg_std_size_under20, D9=sm_oversize, D9=md_oversize, D9=lg_oversize), IF(D17&gt;item_weight, "Yes", "No"), "No")</f>
        <v>No</v>
      </c>
      <c r="E18" s="17"/>
      <c r="F18" s="17" t="s">
        <v>28</v>
      </c>
    </row>
    <row r="19" spans="2:6" ht="27.6" hidden="1" x14ac:dyDescent="0.3">
      <c r="B19" s="16" t="s">
        <v>29</v>
      </c>
      <c r="C19" s="17"/>
      <c r="D19" s="19">
        <f>IF(OR(D9=sm_std_size, D9=lg_std_size_under1, D9=lg_std_size_under2, D9=lg_std_size_under20), 0.25, 1)</f>
        <v>0.25</v>
      </c>
      <c r="E19" s="17"/>
      <c r="F19" s="17" t="s">
        <v>30</v>
      </c>
    </row>
    <row r="20" spans="2:6" x14ac:dyDescent="0.3">
      <c r="B20" s="16" t="s">
        <v>31</v>
      </c>
      <c r="C20" s="16"/>
      <c r="D20" s="18">
        <f>IF(D18="Yes", ROUNDUP(D17+D19, 0), ROUNDUP(item_weight+D19, 0))</f>
        <v>4</v>
      </c>
      <c r="E20" s="16"/>
      <c r="F20" s="17" t="s">
        <v>17</v>
      </c>
    </row>
    <row r="21" spans="2:6" ht="18" customHeight="1" x14ac:dyDescent="0.35">
      <c r="B21" s="16" t="s">
        <v>32</v>
      </c>
      <c r="C21" s="16"/>
      <c r="D21" s="18"/>
      <c r="E21" s="27">
        <f>IF(D9=sm_std_size,sm_std_fbaCost,IF(size_tier=lg_std_size_under1,lg_std_fbaCost,IF(size_tier=lg_std_size_under2,lg_std_under2_fbaCost,IF(size_tier=lg_std_size_under20,lg_std_under20_fbaCost,IF(size_tier=sm_oversize,sm_oversize_fbaCost,IF(size_tier=md_oversize,md_oversize_fbaCost,IF(size_tier=lg_oversize,lg_oversize_fbaCosst,IF(size_tier=sp_oversize,sp_oversize_fbaCost,0))))))))</f>
        <v>5.47</v>
      </c>
      <c r="F21" s="17" t="s">
        <v>17</v>
      </c>
    </row>
    <row r="22" spans="2:6" ht="18" customHeight="1" x14ac:dyDescent="0.3">
      <c r="B22" s="42" t="s">
        <v>33</v>
      </c>
      <c r="C22" s="43"/>
      <c r="D22" s="43"/>
      <c r="E22" s="43"/>
      <c r="F22" s="44"/>
    </row>
    <row r="23" spans="2:6" ht="18" customHeight="1" x14ac:dyDescent="0.3">
      <c r="B23" s="16" t="s">
        <v>34</v>
      </c>
      <c r="C23" s="50" t="s">
        <v>107</v>
      </c>
      <c r="D23" s="51"/>
      <c r="E23" s="23"/>
      <c r="F23" s="17" t="s">
        <v>36</v>
      </c>
    </row>
    <row r="24" spans="2:6" ht="18" customHeight="1" x14ac:dyDescent="0.3">
      <c r="B24" s="16" t="s">
        <v>37</v>
      </c>
      <c r="C24" s="24">
        <f>VLOOKUP(C23,Formulas!$B$20:$E$43, 2, FALSE)</f>
        <v>0.15</v>
      </c>
      <c r="D24" s="18"/>
      <c r="E24" s="23"/>
      <c r="F24" s="17" t="s">
        <v>38</v>
      </c>
    </row>
    <row r="25" spans="2:6" ht="18" customHeight="1" x14ac:dyDescent="0.3">
      <c r="B25" s="16" t="s">
        <v>39</v>
      </c>
      <c r="C25" s="21">
        <f>VLOOKUP(C23,Formulas!$B$20:$E$43, 4, FALSE)</f>
        <v>1</v>
      </c>
      <c r="D25" s="18"/>
      <c r="E25" s="23"/>
      <c r="F25" s="17" t="s">
        <v>40</v>
      </c>
    </row>
    <row r="26" spans="2:6" ht="18" customHeight="1" x14ac:dyDescent="0.35">
      <c r="B26" s="16" t="s">
        <v>41</v>
      </c>
      <c r="C26" s="16"/>
      <c r="D26" s="18"/>
      <c r="E26" s="27">
        <f>VLOOKUP(C23,Formulas!$B$20:$F$43, 5, FALSE)</f>
        <v>7.5</v>
      </c>
      <c r="F26" s="17"/>
    </row>
    <row r="27" spans="2:6" ht="18" customHeight="1" x14ac:dyDescent="0.3">
      <c r="B27" s="42" t="s">
        <v>42</v>
      </c>
      <c r="C27" s="43"/>
      <c r="D27" s="43"/>
      <c r="E27" s="43"/>
      <c r="F27" s="44"/>
    </row>
    <row r="28" spans="2:6" x14ac:dyDescent="0.3">
      <c r="B28" s="34"/>
      <c r="C28" s="29" t="s">
        <v>117</v>
      </c>
      <c r="D28" s="29" t="s">
        <v>118</v>
      </c>
      <c r="E28" s="29"/>
      <c r="F28" s="31" t="s">
        <v>43</v>
      </c>
    </row>
    <row r="29" spans="2:6" ht="18" customHeight="1" x14ac:dyDescent="0.35">
      <c r="B29" s="16" t="s">
        <v>114</v>
      </c>
      <c r="C29" s="38">
        <v>2</v>
      </c>
      <c r="D29" s="25">
        <f>INDEX(Formulas!J3:J10, MATCH(size_tier,Formulas!L3:L10, 0))</f>
        <v>0.69</v>
      </c>
      <c r="E29" s="30"/>
      <c r="F29" s="17" t="s">
        <v>44</v>
      </c>
    </row>
    <row r="30" spans="2:6" ht="18" customHeight="1" x14ac:dyDescent="0.35">
      <c r="B30" s="16" t="s">
        <v>115</v>
      </c>
      <c r="C30" s="38">
        <v>1</v>
      </c>
      <c r="D30" s="25">
        <f>INDEX(Formulas!K3:K10, MATCH(size_tier,Formulas!L3:L10, 0))</f>
        <v>2.4</v>
      </c>
      <c r="E30" s="30"/>
      <c r="F30" s="17" t="s">
        <v>45</v>
      </c>
    </row>
    <row r="31" spans="2:6" ht="18" customHeight="1" x14ac:dyDescent="0.35">
      <c r="B31" s="16" t="s">
        <v>116</v>
      </c>
      <c r="C31" s="16"/>
      <c r="D31" s="18"/>
      <c r="E31" s="27">
        <f>((C29*D29)+(C30*D30))*D11</f>
        <v>0.58336031249999998</v>
      </c>
      <c r="F31" s="17"/>
    </row>
    <row r="32" spans="2:6" x14ac:dyDescent="0.3">
      <c r="B32" s="42" t="s">
        <v>46</v>
      </c>
      <c r="C32" s="43"/>
      <c r="D32" s="43"/>
      <c r="E32" s="43"/>
      <c r="F32" s="44"/>
    </row>
    <row r="33" spans="2:6" ht="18" x14ac:dyDescent="0.35">
      <c r="B33" s="16" t="s">
        <v>47</v>
      </c>
      <c r="C33" s="35">
        <v>20</v>
      </c>
      <c r="D33" s="16"/>
      <c r="E33" s="16"/>
      <c r="F33" s="16" t="s">
        <v>48</v>
      </c>
    </row>
    <row r="34" spans="2:6" ht="18" x14ac:dyDescent="0.35">
      <c r="B34" s="16" t="s">
        <v>49</v>
      </c>
      <c r="C34" s="35">
        <v>0.79</v>
      </c>
      <c r="D34" s="16"/>
      <c r="E34" s="16"/>
      <c r="F34" s="16" t="s">
        <v>50</v>
      </c>
    </row>
    <row r="35" spans="2:6" ht="18" x14ac:dyDescent="0.35">
      <c r="B35" s="16" t="s">
        <v>51</v>
      </c>
      <c r="C35" s="36">
        <v>7.0000000000000007E-2</v>
      </c>
      <c r="D35" s="16"/>
      <c r="E35" s="16"/>
      <c r="F35" s="16" t="s">
        <v>52</v>
      </c>
    </row>
    <row r="36" spans="2:6" ht="28.2" x14ac:dyDescent="0.35">
      <c r="B36" s="16" t="s">
        <v>53</v>
      </c>
      <c r="C36" s="35">
        <v>0.2</v>
      </c>
      <c r="D36" s="16"/>
      <c r="E36" s="16"/>
      <c r="F36" s="16" t="s">
        <v>54</v>
      </c>
    </row>
    <row r="37" spans="2:6" ht="28.2" x14ac:dyDescent="0.35">
      <c r="B37" s="22" t="s">
        <v>55</v>
      </c>
      <c r="C37" s="16"/>
      <c r="D37" s="16"/>
      <c r="E37" s="28">
        <f>C33+C34+(C33*C35)+C36</f>
        <v>22.389999999999997</v>
      </c>
      <c r="F37" s="16"/>
    </row>
    <row r="38" spans="2:6" ht="18" customHeight="1" x14ac:dyDescent="0.3">
      <c r="B38" s="45" t="s">
        <v>56</v>
      </c>
      <c r="C38" s="46"/>
      <c r="D38" s="46"/>
      <c r="E38" s="46"/>
      <c r="F38" s="46"/>
    </row>
    <row r="39" spans="2:6" ht="18" x14ac:dyDescent="0.35">
      <c r="B39" s="16" t="s">
        <v>57</v>
      </c>
      <c r="C39" s="2"/>
      <c r="D39" s="2"/>
      <c r="E39" s="32">
        <f>C4-E21-E26-E31-E37</f>
        <v>14.056639687500006</v>
      </c>
      <c r="F39" s="2" t="s">
        <v>58</v>
      </c>
    </row>
    <row r="40" spans="2:6" ht="18" x14ac:dyDescent="0.35">
      <c r="B40" s="16" t="s">
        <v>59</v>
      </c>
      <c r="C40" s="2"/>
      <c r="D40" s="2"/>
      <c r="E40" s="33">
        <f>E39/C4</f>
        <v>0.28113279375000011</v>
      </c>
      <c r="F40" s="2" t="s">
        <v>60</v>
      </c>
    </row>
    <row r="43" spans="2:6" x14ac:dyDescent="0.3">
      <c r="B43" t="s">
        <v>61</v>
      </c>
    </row>
  </sheetData>
  <sheetProtection algorithmName="SHA-512" hashValue="iUeDPKCKzRfH+wg0Ow+3OowzJ0UJLSOGuXA0svPb9xCNiIV/Ox9VuH1/r4ORrVPxYybPczwHVtWLhOjL9TBUcQ==" saltValue="BQNa2B46BG3an0YU466HYg==" spinCount="100000" sheet="1" objects="1" scenarios="1"/>
  <protectedRanges>
    <protectedRange sqref="C4:C9 C29:C30" name="Dimensions"/>
  </protectedRanges>
  <mergeCells count="8">
    <mergeCell ref="B1:F1"/>
    <mergeCell ref="D9:E9"/>
    <mergeCell ref="B27:F27"/>
    <mergeCell ref="B38:F38"/>
    <mergeCell ref="B3:F3"/>
    <mergeCell ref="B32:F32"/>
    <mergeCell ref="B22:F22"/>
    <mergeCell ref="C23:D23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9604D56-091B-4AD6-863C-894B8B54D69D}">
          <x14:formula1>
            <xm:f>Formulas!$B$20:$B$43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7F02B-9FF9-4C81-8D58-3636D2DBF646}">
  <dimension ref="B2:L48"/>
  <sheetViews>
    <sheetView topLeftCell="B1" workbookViewId="0">
      <selection activeCell="K16" sqref="K16"/>
    </sheetView>
  </sheetViews>
  <sheetFormatPr defaultRowHeight="14.4" x14ac:dyDescent="0.3"/>
  <cols>
    <col min="2" max="2" width="33.33203125" bestFit="1" customWidth="1"/>
    <col min="3" max="4" width="14.5546875" bestFit="1" customWidth="1"/>
    <col min="5" max="5" width="9.88671875" bestFit="1" customWidth="1"/>
    <col min="6" max="6" width="11.5546875" bestFit="1" customWidth="1"/>
    <col min="7" max="7" width="12.6640625" bestFit="1" customWidth="1"/>
    <col min="8" max="8" width="11.5546875" customWidth="1"/>
    <col min="9" max="9" width="13.109375" bestFit="1" customWidth="1"/>
    <col min="10" max="10" width="24.6640625" bestFit="1" customWidth="1"/>
    <col min="11" max="11" width="24.33203125" bestFit="1" customWidth="1"/>
    <col min="12" max="12" width="30.44140625" bestFit="1" customWidth="1"/>
  </cols>
  <sheetData>
    <row r="2" spans="2:12" x14ac:dyDescent="0.3">
      <c r="B2" s="3" t="s">
        <v>62</v>
      </c>
      <c r="C2" s="3" t="s">
        <v>63</v>
      </c>
      <c r="D2" s="3" t="s">
        <v>64</v>
      </c>
      <c r="E2" s="3" t="s">
        <v>65</v>
      </c>
      <c r="F2" s="3" t="s">
        <v>66</v>
      </c>
      <c r="G2" s="3" t="s">
        <v>67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</row>
    <row r="3" spans="2:12" x14ac:dyDescent="0.3">
      <c r="B3" s="2">
        <v>1</v>
      </c>
      <c r="C3" s="2">
        <v>15</v>
      </c>
      <c r="D3" s="2">
        <v>12</v>
      </c>
      <c r="E3" s="2">
        <v>0.75</v>
      </c>
      <c r="F3" s="2"/>
      <c r="G3" s="8">
        <v>2.41</v>
      </c>
      <c r="H3" s="2"/>
      <c r="I3" s="2">
        <f>G3</f>
        <v>2.41</v>
      </c>
      <c r="J3" s="2">
        <v>0.69</v>
      </c>
      <c r="K3" s="2">
        <v>2.4</v>
      </c>
      <c r="L3" s="2" t="s">
        <v>73</v>
      </c>
    </row>
    <row r="4" spans="2:12" x14ac:dyDescent="0.3">
      <c r="B4" s="2">
        <v>1</v>
      </c>
      <c r="C4" s="2">
        <v>18</v>
      </c>
      <c r="D4" s="2">
        <v>14</v>
      </c>
      <c r="E4" s="2">
        <v>8</v>
      </c>
      <c r="F4" s="2"/>
      <c r="G4" s="2">
        <v>3.19</v>
      </c>
      <c r="H4" s="2"/>
      <c r="I4" s="2">
        <f t="shared" ref="I4:I5" si="0">G4</f>
        <v>3.19</v>
      </c>
      <c r="J4" s="2">
        <v>0.69</v>
      </c>
      <c r="K4" s="2">
        <v>2.4</v>
      </c>
      <c r="L4" s="2" t="s">
        <v>74</v>
      </c>
    </row>
    <row r="5" spans="2:12" x14ac:dyDescent="0.3">
      <c r="B5" s="2">
        <v>2</v>
      </c>
      <c r="C5" s="2">
        <v>18</v>
      </c>
      <c r="D5" s="2">
        <v>14</v>
      </c>
      <c r="E5" s="2">
        <v>8</v>
      </c>
      <c r="F5" s="2"/>
      <c r="G5" s="2">
        <v>4.71</v>
      </c>
      <c r="H5" s="2"/>
      <c r="I5" s="2">
        <f t="shared" si="0"/>
        <v>4.71</v>
      </c>
      <c r="J5" s="2">
        <v>0.69</v>
      </c>
      <c r="K5" s="2">
        <v>2.4</v>
      </c>
      <c r="L5" s="2" t="s">
        <v>75</v>
      </c>
    </row>
    <row r="6" spans="2:12" x14ac:dyDescent="0.3">
      <c r="B6" s="2">
        <v>20</v>
      </c>
      <c r="C6" s="2">
        <v>18</v>
      </c>
      <c r="D6" s="2">
        <v>14</v>
      </c>
      <c r="E6" s="2">
        <v>8</v>
      </c>
      <c r="F6" s="2"/>
      <c r="G6" s="2">
        <v>4.71</v>
      </c>
      <c r="H6" s="2">
        <v>0.38</v>
      </c>
      <c r="I6" s="2">
        <f>G6+(H6*(outbound_weight-2))</f>
        <v>5.47</v>
      </c>
      <c r="J6" s="2">
        <v>0.69</v>
      </c>
      <c r="K6" s="2">
        <v>2.4</v>
      </c>
      <c r="L6" s="2" t="s">
        <v>76</v>
      </c>
    </row>
    <row r="7" spans="2:12" x14ac:dyDescent="0.3">
      <c r="B7" s="2">
        <v>70</v>
      </c>
      <c r="C7" s="2">
        <v>60</v>
      </c>
      <c r="D7" s="2">
        <v>30</v>
      </c>
      <c r="E7" s="2"/>
      <c r="F7" s="2">
        <v>130</v>
      </c>
      <c r="G7" s="2">
        <v>8.1300000000000008</v>
      </c>
      <c r="H7" s="2">
        <v>0.38</v>
      </c>
      <c r="I7" s="2">
        <f>G7+(H7*(outbound_weight-2))</f>
        <v>8.89</v>
      </c>
      <c r="J7" s="2">
        <v>0.48</v>
      </c>
      <c r="K7" s="2">
        <v>1.2</v>
      </c>
      <c r="L7" s="2" t="s">
        <v>77</v>
      </c>
    </row>
    <row r="8" spans="2:12" x14ac:dyDescent="0.3">
      <c r="B8" s="2">
        <v>150</v>
      </c>
      <c r="C8" s="2">
        <v>108</v>
      </c>
      <c r="D8" s="2"/>
      <c r="E8" s="2"/>
      <c r="F8" s="2">
        <v>130</v>
      </c>
      <c r="G8" s="2">
        <v>9.44</v>
      </c>
      <c r="H8" s="2">
        <v>0.38</v>
      </c>
      <c r="I8" s="2">
        <f>G8+(H8*(outbound_weight-2))</f>
        <v>10.199999999999999</v>
      </c>
      <c r="J8" s="2">
        <v>0.48</v>
      </c>
      <c r="K8" s="2">
        <v>1.2</v>
      </c>
      <c r="L8" s="2" t="s">
        <v>78</v>
      </c>
    </row>
    <row r="9" spans="2:12" x14ac:dyDescent="0.3">
      <c r="B9" s="2">
        <v>150</v>
      </c>
      <c r="C9" s="2">
        <v>108</v>
      </c>
      <c r="D9" s="2"/>
      <c r="E9" s="2"/>
      <c r="F9" s="2">
        <v>165</v>
      </c>
      <c r="G9" s="2">
        <v>73.180000000000007</v>
      </c>
      <c r="H9" s="2">
        <v>0.79</v>
      </c>
      <c r="I9" s="2">
        <f>G9+(H9*(outbound_weight-90))</f>
        <v>5.2400000000000091</v>
      </c>
      <c r="J9" s="2">
        <v>0.48</v>
      </c>
      <c r="K9" s="2">
        <v>1.2</v>
      </c>
      <c r="L9" s="2" t="s">
        <v>79</v>
      </c>
    </row>
    <row r="10" spans="2:12" x14ac:dyDescent="0.3">
      <c r="B10" s="2"/>
      <c r="C10" s="2"/>
      <c r="D10" s="2"/>
      <c r="E10" s="2"/>
      <c r="F10" s="2"/>
      <c r="G10" s="2">
        <v>137.72</v>
      </c>
      <c r="H10" s="2">
        <v>0.91</v>
      </c>
      <c r="I10" s="2">
        <f>G10+(H10*(outbound_weight-90))</f>
        <v>59.459999999999994</v>
      </c>
      <c r="J10" s="2">
        <v>0.48</v>
      </c>
      <c r="K10" s="2">
        <v>1.2</v>
      </c>
      <c r="L10" s="2" t="s">
        <v>80</v>
      </c>
    </row>
    <row r="19" spans="2:7" x14ac:dyDescent="0.3"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4</v>
      </c>
    </row>
    <row r="20" spans="2:7" x14ac:dyDescent="0.3">
      <c r="B20" s="2" t="s">
        <v>86</v>
      </c>
      <c r="C20" s="2">
        <v>0.15</v>
      </c>
      <c r="D20" s="2"/>
      <c r="E20" s="25">
        <v>1</v>
      </c>
      <c r="F20" s="2">
        <f>IF(Calculator!$C$4*Formulas!C20&gt;E20, Calculator!$C$4*Formulas!C20, E20)</f>
        <v>7.5</v>
      </c>
      <c r="G20" s="2"/>
    </row>
    <row r="21" spans="2:7" x14ac:dyDescent="0.3">
      <c r="B21" s="2" t="s">
        <v>35</v>
      </c>
      <c r="C21" s="2">
        <v>0.12</v>
      </c>
      <c r="D21" s="2"/>
      <c r="E21" s="25">
        <v>1</v>
      </c>
      <c r="F21" s="2">
        <f>IF(Calculator!$C$4*Formulas!C21&gt;E21, Calculator!$C$4*Formulas!C21, E21)</f>
        <v>6</v>
      </c>
      <c r="G21" s="2"/>
    </row>
    <row r="22" spans="2:7" x14ac:dyDescent="0.3">
      <c r="B22" s="2" t="s">
        <v>87</v>
      </c>
      <c r="C22" s="2">
        <v>0.15</v>
      </c>
      <c r="D22" s="2"/>
      <c r="E22" s="25">
        <v>1</v>
      </c>
      <c r="F22" s="2">
        <f>IF(Calculator!$C$4*Formulas!C22&gt;E22, Calculator!$C$4*Formulas!C22, E22)</f>
        <v>7.5</v>
      </c>
      <c r="G22" s="2"/>
    </row>
    <row r="23" spans="2:7" x14ac:dyDescent="0.3">
      <c r="B23" s="26" t="s">
        <v>88</v>
      </c>
      <c r="C23" s="2">
        <v>0.08</v>
      </c>
      <c r="D23" s="2"/>
      <c r="E23" s="25">
        <v>1</v>
      </c>
      <c r="F23" s="2">
        <f>IF(Calculator!$C$4*Formulas!C23&gt;E23, Calculator!$C$4*Formulas!C23, E23)</f>
        <v>4</v>
      </c>
      <c r="G23" s="2"/>
    </row>
    <row r="24" spans="2:7" x14ac:dyDescent="0.3">
      <c r="B24" s="2" t="s">
        <v>89</v>
      </c>
      <c r="C24" s="2">
        <v>0.08</v>
      </c>
      <c r="D24" s="2"/>
      <c r="E24" s="25">
        <v>1</v>
      </c>
      <c r="F24" s="2">
        <f>IF(Calculator!$C$4*Formulas!C24&gt;E24, Calculator!$C$4*Formulas!C24, E24)</f>
        <v>4</v>
      </c>
      <c r="G24" s="2"/>
    </row>
    <row r="25" spans="2:7" x14ac:dyDescent="0.3">
      <c r="B25" s="2" t="s">
        <v>90</v>
      </c>
      <c r="C25" s="2">
        <v>0.17</v>
      </c>
      <c r="D25" s="2"/>
      <c r="E25" s="25">
        <v>1</v>
      </c>
      <c r="F25" s="2">
        <f>IF(Calculator!$C$4*Formulas!C25&gt;E25, Calculator!$C$4*Formulas!C25, E25)</f>
        <v>8.5</v>
      </c>
      <c r="G25" s="2"/>
    </row>
    <row r="26" spans="2:7" x14ac:dyDescent="0.3">
      <c r="B26" s="2" t="s">
        <v>91</v>
      </c>
      <c r="C26" s="2">
        <v>0.08</v>
      </c>
      <c r="D26" s="2"/>
      <c r="E26" s="25">
        <v>1</v>
      </c>
      <c r="F26" s="2">
        <f>IF(Calculator!$C$4*Formulas!C26&gt;E26, Calculator!$C$4*Formulas!C26, E26)</f>
        <v>4</v>
      </c>
      <c r="G26" s="2"/>
    </row>
    <row r="27" spans="2:7" x14ac:dyDescent="0.3">
      <c r="B27" s="2" t="s">
        <v>92</v>
      </c>
      <c r="C27" s="2">
        <v>0.15</v>
      </c>
      <c r="D27" s="2">
        <v>0.18</v>
      </c>
      <c r="E27" s="25">
        <v>1</v>
      </c>
      <c r="F27" s="2">
        <f>IF(Calculator!$C$4*Formulas!C27&gt;E27,IF(Calculator!C4&lt;100, (Calculator!C4*Formulas!C27), ((Calculator!C4-100)*D27)+(100*Formulas!C27)),Formulas!E27)</f>
        <v>7.5</v>
      </c>
      <c r="G27" s="2" t="s">
        <v>93</v>
      </c>
    </row>
    <row r="28" spans="2:7" x14ac:dyDescent="0.3">
      <c r="B28" s="2" t="s">
        <v>94</v>
      </c>
      <c r="C28" s="2">
        <v>0.15</v>
      </c>
      <c r="D28" s="2"/>
      <c r="E28" s="25">
        <v>1</v>
      </c>
      <c r="F28" s="2">
        <f>IF(Calculator!$C$4*Formulas!C28&gt;E28, Calculator!$C$4*Formulas!C28, E28)</f>
        <v>7.5</v>
      </c>
      <c r="G28" s="2"/>
    </row>
    <row r="29" spans="2:7" x14ac:dyDescent="0.3">
      <c r="B29" s="2" t="s">
        <v>95</v>
      </c>
      <c r="C29" s="2">
        <v>0.15</v>
      </c>
      <c r="D29" s="2"/>
      <c r="E29" s="25">
        <v>0</v>
      </c>
      <c r="F29" s="2">
        <f>IF(Calculator!$C$4*Formulas!C29&gt;E29, Calculator!$C$4*Formulas!C29, E29)</f>
        <v>7.5</v>
      </c>
      <c r="G29" s="2"/>
    </row>
    <row r="30" spans="2:7" x14ac:dyDescent="0.3">
      <c r="B30" s="2" t="s">
        <v>96</v>
      </c>
      <c r="C30" s="2">
        <v>0.15</v>
      </c>
      <c r="D30" s="2"/>
      <c r="E30" s="25">
        <v>1</v>
      </c>
      <c r="F30" s="2">
        <f>IF(Calculator!$C$4*Formulas!C30&gt;E30, Calculator!$C$4*Formulas!C30, E30)</f>
        <v>7.5</v>
      </c>
      <c r="G30" s="2"/>
    </row>
    <row r="31" spans="2:7" x14ac:dyDescent="0.3">
      <c r="B31" s="2" t="s">
        <v>97</v>
      </c>
      <c r="C31" s="2">
        <v>0.2</v>
      </c>
      <c r="D31" s="2"/>
      <c r="E31" s="25">
        <v>2</v>
      </c>
      <c r="F31" s="2">
        <f>IF(Calculator!$C$4*Formulas!C31&gt;E31, Calculator!$C$4*Formulas!C31, E31)</f>
        <v>10</v>
      </c>
      <c r="G31" s="2"/>
    </row>
    <row r="32" spans="2:7" x14ac:dyDescent="0.3">
      <c r="B32" s="2" t="s">
        <v>98</v>
      </c>
      <c r="C32" s="2">
        <v>0.15</v>
      </c>
      <c r="D32" s="2"/>
      <c r="E32" s="25">
        <v>1</v>
      </c>
      <c r="F32" s="2">
        <f>IF(Calculator!$C$4*Formulas!C32&gt;E32, Calculator!$C$4*Formulas!C32, E32)</f>
        <v>7.5</v>
      </c>
      <c r="G32" s="2"/>
    </row>
    <row r="33" spans="2:7" x14ac:dyDescent="0.3">
      <c r="B33" s="2" t="s">
        <v>99</v>
      </c>
      <c r="C33" s="2">
        <v>0.15</v>
      </c>
      <c r="D33" s="2"/>
      <c r="E33" s="25">
        <v>1</v>
      </c>
      <c r="F33" s="2">
        <f>IF(Calculator!$C$4*Formulas!C33&gt;E33, Calculator!$C$4*Formulas!C33, E33)</f>
        <v>7.5</v>
      </c>
      <c r="G33" s="2"/>
    </row>
    <row r="34" spans="2:7" x14ac:dyDescent="0.3">
      <c r="B34" s="2" t="s">
        <v>100</v>
      </c>
      <c r="C34" s="2">
        <v>0.15</v>
      </c>
      <c r="D34" s="2"/>
      <c r="E34" s="25">
        <v>1</v>
      </c>
      <c r="F34" s="2">
        <f>IF(Calculator!$C$4*Formulas!C34&gt;E34, Calculator!$C$4*Formulas!C34, E34)</f>
        <v>7.5</v>
      </c>
      <c r="G34" s="2"/>
    </row>
    <row r="35" spans="2:7" x14ac:dyDescent="0.3">
      <c r="B35" s="2" t="s">
        <v>101</v>
      </c>
      <c r="C35" s="2">
        <v>0.15</v>
      </c>
      <c r="D35" s="2"/>
      <c r="E35" s="25">
        <v>1</v>
      </c>
      <c r="F35" s="2">
        <f>IF(Calculator!$C$4*Formulas!C35&gt;E35, Calculator!$C$4*Formulas!C35, E35)</f>
        <v>7.5</v>
      </c>
      <c r="G35" s="2"/>
    </row>
    <row r="36" spans="2:7" x14ac:dyDescent="0.3">
      <c r="B36" s="2" t="s">
        <v>102</v>
      </c>
      <c r="C36" s="2">
        <v>0.15</v>
      </c>
      <c r="D36" s="2"/>
      <c r="E36" s="25">
        <v>1</v>
      </c>
      <c r="F36" s="2">
        <f>IF(Calculator!$C$4*Formulas!C36&gt;E36, Calculator!$C$4*Formulas!C36, E36)</f>
        <v>7.5</v>
      </c>
      <c r="G36" s="2"/>
    </row>
    <row r="37" spans="2:7" x14ac:dyDescent="0.3">
      <c r="B37" s="2" t="s">
        <v>103</v>
      </c>
      <c r="C37" s="2">
        <v>0.15</v>
      </c>
      <c r="D37" s="2"/>
      <c r="E37" s="25">
        <v>1</v>
      </c>
      <c r="F37" s="2">
        <f>IF(Calculator!$C$4*Formulas!C37&gt;E37, Calculator!$C$4*Formulas!C37, E37)</f>
        <v>7.5</v>
      </c>
      <c r="G37" s="2"/>
    </row>
    <row r="38" spans="2:7" x14ac:dyDescent="0.3">
      <c r="B38" s="2" t="s">
        <v>104</v>
      </c>
      <c r="C38" s="2">
        <v>0.15</v>
      </c>
      <c r="D38" s="2"/>
      <c r="E38" s="25">
        <v>1</v>
      </c>
      <c r="F38" s="2">
        <f>IF(Calculator!$C$4*Formulas!C38&gt;E38, Calculator!$C$4*Formulas!C38, E38)</f>
        <v>7.5</v>
      </c>
      <c r="G38" s="2"/>
    </row>
    <row r="39" spans="2:7" x14ac:dyDescent="0.3">
      <c r="B39" s="2" t="s">
        <v>105</v>
      </c>
      <c r="C39" s="2">
        <v>0.15</v>
      </c>
      <c r="D39" s="2">
        <v>0.18</v>
      </c>
      <c r="E39" s="25">
        <v>1</v>
      </c>
      <c r="F39" s="2">
        <f>IF(Calculator!$C$4*Formulas!C39&gt;E39,IF(Calculator!C4&lt;75, (Calculator!C4*Formulas!C39), ((Calculator!C4-75)*D39)+(75*Formulas!C39)),Formulas!E39)</f>
        <v>7.5</v>
      </c>
      <c r="G39" s="2" t="s">
        <v>106</v>
      </c>
    </row>
    <row r="40" spans="2:7" x14ac:dyDescent="0.3">
      <c r="B40" s="2" t="s">
        <v>107</v>
      </c>
      <c r="C40" s="2">
        <v>0.15</v>
      </c>
      <c r="D40" s="2"/>
      <c r="E40" s="25">
        <v>1</v>
      </c>
      <c r="F40" s="2">
        <f>IF(Calculator!$C$4*Formulas!C40&gt;E40, Calculator!$C$4*Formulas!C40, E40)</f>
        <v>7.5</v>
      </c>
      <c r="G40" s="2"/>
    </row>
    <row r="41" spans="2:7" x14ac:dyDescent="0.3">
      <c r="B41" s="2" t="s">
        <v>108</v>
      </c>
      <c r="C41" s="2">
        <v>0.15</v>
      </c>
      <c r="D41" s="2"/>
      <c r="E41" s="25">
        <v>1</v>
      </c>
      <c r="F41" s="2">
        <f>IF(Calculator!$C$4*Formulas!C41&gt;E41, Calculator!$C$4*Formulas!C41, E41)</f>
        <v>7.5</v>
      </c>
      <c r="G41" s="2"/>
    </row>
    <row r="42" spans="2:7" x14ac:dyDescent="0.3">
      <c r="B42" s="2" t="s">
        <v>109</v>
      </c>
      <c r="C42" s="2">
        <v>0.15</v>
      </c>
      <c r="D42" s="2"/>
      <c r="E42" s="25">
        <v>1</v>
      </c>
      <c r="F42" s="2">
        <f>IF(Calculator!$C$4*Formulas!C42&gt;E42, Calculator!$C$4*Formulas!C42, E42)</f>
        <v>7.5</v>
      </c>
      <c r="G42" s="2"/>
    </row>
    <row r="43" spans="2:7" x14ac:dyDescent="0.3">
      <c r="B43" s="2" t="s">
        <v>110</v>
      </c>
      <c r="C43" s="2">
        <v>0.16</v>
      </c>
      <c r="D43" s="2">
        <v>0.03</v>
      </c>
      <c r="E43" s="25">
        <v>2</v>
      </c>
      <c r="F43" s="2">
        <f>IF(Calculator!$C$4*Formulas!C43&gt;E43,IF(Calculator!C4&lt;1500, (Calculator!C4*Formulas!C43), ((Calculator!C4-1500)*D43)+(1500*Formulas!C43)),Formulas!E43)</f>
        <v>8</v>
      </c>
      <c r="G43" s="2" t="s">
        <v>111</v>
      </c>
    </row>
    <row r="47" spans="2:7" x14ac:dyDescent="0.3">
      <c r="B47" s="2" t="s">
        <v>112</v>
      </c>
      <c r="C47" s="2">
        <v>27</v>
      </c>
    </row>
    <row r="48" spans="2:7" x14ac:dyDescent="0.3">
      <c r="B48" s="2" t="s">
        <v>113</v>
      </c>
      <c r="C48" s="2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Calculator</vt:lpstr>
      <vt:lpstr>Formulas</vt:lpstr>
      <vt:lpstr>cbm_20ft_container</vt:lpstr>
      <vt:lpstr>cbm_40ft_container</vt:lpstr>
      <vt:lpstr>girth</vt:lpstr>
      <vt:lpstr>item_cbm</vt:lpstr>
      <vt:lpstr>item_height</vt:lpstr>
      <vt:lpstr>item_length</vt:lpstr>
      <vt:lpstr>item_weight</vt:lpstr>
      <vt:lpstr>item_width</vt:lpstr>
      <vt:lpstr>lg_oversize</vt:lpstr>
      <vt:lpstr>lg_oversize_fbaCosst</vt:lpstr>
      <vt:lpstr>lg_oversize_fbaCost</vt:lpstr>
      <vt:lpstr>lg_std_fbaCost</vt:lpstr>
      <vt:lpstr>lg_std_size_under1</vt:lpstr>
      <vt:lpstr>lg_std_size_under2</vt:lpstr>
      <vt:lpstr>lg_std_size_under20</vt:lpstr>
      <vt:lpstr>lg_std_under2_fbaCost</vt:lpstr>
      <vt:lpstr>lg_std_under20_fbaCost</vt:lpstr>
      <vt:lpstr>max_height</vt:lpstr>
      <vt:lpstr>max_length</vt:lpstr>
      <vt:lpstr>max_weight</vt:lpstr>
      <vt:lpstr>max_width</vt:lpstr>
      <vt:lpstr>md_oversize</vt:lpstr>
      <vt:lpstr>md_oversize_fbaCost</vt:lpstr>
      <vt:lpstr>outbound_weight</vt:lpstr>
      <vt:lpstr>size_tier</vt:lpstr>
      <vt:lpstr>sm_oversize</vt:lpstr>
      <vt:lpstr>sm_oversize_fbaCost</vt:lpstr>
      <vt:lpstr>sm_std_fbaCost</vt:lpstr>
      <vt:lpstr>sm_std_size</vt:lpstr>
      <vt:lpstr>sp_oversize</vt:lpstr>
      <vt:lpstr>sp_oversize_fbaCost</vt:lpstr>
      <vt:lpstr>std_size_under1</vt:lpstr>
      <vt:lpstr>std_under1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</cp:lastModifiedBy>
  <cp:revision/>
  <dcterms:created xsi:type="dcterms:W3CDTF">2006-09-16T00:00:00Z</dcterms:created>
  <dcterms:modified xsi:type="dcterms:W3CDTF">2018-10-19T11:51:37Z</dcterms:modified>
  <cp:category/>
  <cp:contentStatus/>
</cp:coreProperties>
</file>